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充填与边角煤置换综合收益速算" sheetId="1" state="visible" r:id="rId1"/>
    <sheet xmlns:r="http://schemas.openxmlformats.org/officeDocument/2006/relationships" name="边角煤与枝角煤置换专项测算" sheetId="2" state="visible" r:id="rId2"/>
    <sheet xmlns:r="http://schemas.openxmlformats.org/officeDocument/2006/relationships" name="两充填工艺技术性能对比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icrosoft YaHei"/>
      <b val="1"/>
      <color rgb="00FFFFFF"/>
      <sz val="15"/>
    </font>
    <font>
      <name val="Microsoft YaHei"/>
      <i val="1"/>
      <color rgb="00D4AF37"/>
      <sz val="10"/>
    </font>
    <font>
      <name val="Microsoft YaHei"/>
      <color rgb="002D3748"/>
      <sz val="9.5"/>
    </font>
    <font>
      <name val="Microsoft YaHei"/>
      <b val="1"/>
      <color rgb="00FFFFFF"/>
      <sz val="11"/>
    </font>
    <font>
      <name val="Microsoft YaHei"/>
      <b val="1"/>
      <color rgb="00FFFFFF"/>
      <sz val="10"/>
    </font>
    <font>
      <name val="Microsoft YaHei"/>
      <b val="1"/>
      <color rgb="001A202C"/>
      <sz val="10"/>
    </font>
    <font>
      <name val="Microsoft YaHei"/>
      <b val="1"/>
      <color rgb="001C4532"/>
      <sz val="11"/>
    </font>
    <font>
      <name val="Microsoft YaHei"/>
      <b val="1"/>
      <color rgb="00744210"/>
      <sz val="10.5"/>
    </font>
  </fonts>
  <fills count="7">
    <fill>
      <patternFill/>
    </fill>
    <fill>
      <patternFill patternType="gray125"/>
    </fill>
    <fill>
      <patternFill patternType="solid">
        <fgColor rgb="001A365D"/>
        <bgColor rgb="001A365D"/>
      </patternFill>
    </fill>
    <fill>
      <patternFill patternType="solid">
        <fgColor rgb="002A4365"/>
        <bgColor rgb="002A4365"/>
      </patternFill>
    </fill>
    <fill>
      <patternFill patternType="solid">
        <fgColor rgb="00EDF2F7"/>
        <bgColor rgb="00EDF2F7"/>
      </patternFill>
    </fill>
    <fill>
      <patternFill patternType="solid">
        <fgColor rgb="00C6F6D5"/>
        <bgColor rgb="00C6F6D5"/>
      </patternFill>
    </fill>
    <fill>
      <patternFill patternType="solid">
        <fgColor rgb="00FEFCBF"/>
        <bgColor rgb="00FEFCBF"/>
      </patternFill>
    </fill>
  </fills>
  <borders count="7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  <border>
      <left/>
      <right/>
      <top style="thin">
        <color rgb="00CBD5E0"/>
      </top>
      <bottom/>
      <diagonal/>
    </border>
    <border>
      <left/>
      <right style="thin">
        <color rgb="00CBD5E0"/>
      </right>
      <top style="thin">
        <color rgb="00CBD5E0"/>
      </top>
      <bottom/>
      <diagonal/>
    </border>
    <border>
      <left/>
      <right/>
      <top style="thin">
        <color rgb="00CBD5E0"/>
      </top>
      <bottom style="thin">
        <color rgb="00CBD5E0"/>
      </bottom>
      <diagonal/>
    </border>
    <border>
      <left/>
      <right style="thin">
        <color rgb="00CBD5E0"/>
      </right>
      <top style="thin">
        <color rgb="00CBD5E0"/>
      </top>
      <bottom style="thin">
        <color rgb="00CBD5E0"/>
      </bottom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double">
        <color rgb="001A365D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/>
    </xf>
    <xf numFmtId="3" fontId="3" fillId="4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0" fontId="3" fillId="0" borderId="1" applyAlignment="1" pivotButton="0" quotePrefix="0" xfId="0">
      <alignment vertical="center"/>
    </xf>
    <xf numFmtId="0" fontId="6" fillId="4" borderId="1" applyAlignment="1" pivotButton="0" quotePrefix="0" xfId="0">
      <alignment vertical="center"/>
    </xf>
    <xf numFmtId="2" fontId="3" fillId="0" borderId="1" applyAlignment="1" pivotButton="0" quotePrefix="0" xfId="0">
      <alignment vertical="center"/>
    </xf>
    <xf numFmtId="2" fontId="3" fillId="4" borderId="1" applyAlignment="1" pivotButton="0" quotePrefix="0" xfId="0">
      <alignment vertical="center"/>
    </xf>
    <xf numFmtId="0" fontId="7" fillId="5" borderId="6" applyAlignment="1" pivotButton="0" quotePrefix="0" xfId="0">
      <alignment vertical="center"/>
    </xf>
    <xf numFmtId="0" fontId="8" fillId="6" borderId="1" applyAlignment="1" pivotButton="0" quotePrefix="0" xfId="0">
      <alignment vertical="center"/>
    </xf>
    <xf numFmtId="10" fontId="6" fillId="4" borderId="1" applyAlignment="1" pivotButton="0" quotePrefix="0" xfId="0">
      <alignment vertical="center"/>
    </xf>
    <xf numFmtId="2" fontId="6" fillId="4" borderId="1" applyAlignment="1" pivotButton="0" quotePrefix="0" xfId="0">
      <alignment vertical="center"/>
    </xf>
    <xf numFmtId="0" fontId="3" fillId="4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20" customWidth="1" min="3" max="3"/>
    <col width="18" customWidth="1" min="4" max="4"/>
    <col width="42" customWidth="1" min="5" max="5"/>
    <col width="18" customWidth="1" min="6" max="6"/>
    <col width="18" customWidth="1" min="7" max="7"/>
  </cols>
  <sheetData>
    <row r="1" ht="40" customHeight="1">
      <c r="A1" s="1" t="inlineStr">
        <is>
          <t>2026-2027 陕西榆林煤矿煤矸石井下充填消纳与边角煤置换综合收益测算模型</t>
        </is>
      </c>
    </row>
    <row r="2" ht="24" customHeight="1">
      <c r="A2" s="2" t="inlineStr">
        <is>
          <t>技术支撑：中国矿业大学采充科研团队 · 中矿天智工程转化 | 首席顾问：张洁贞 139-3815-5869（微信同号）</t>
        </is>
      </c>
    </row>
    <row r="3" ht="28" customHeight="1">
      <c r="A3" s="3" t="inlineStr">
        <is>
          <t>一、 矿井基础边界条件（矿方可根据现场实况调整黄底参数）</t>
        </is>
      </c>
      <c r="B3" s="4" t="n"/>
      <c r="C3" s="4" t="n"/>
      <c r="D3" s="4" t="n"/>
      <c r="E3" s="4" t="n"/>
      <c r="F3" s="4" t="n"/>
      <c r="G3" s="5" t="n"/>
    </row>
    <row r="4" ht="28" customHeight="1">
      <c r="A4" s="6" t="inlineStr">
        <is>
          <t>参数名称</t>
        </is>
      </c>
      <c r="B4" s="6" t="inlineStr">
        <is>
          <t>变量符号</t>
        </is>
      </c>
      <c r="C4" s="6" t="inlineStr">
        <is>
          <t>默认参考基准</t>
        </is>
      </c>
      <c r="D4" s="6" t="inlineStr">
        <is>
          <t>指标单位</t>
        </is>
      </c>
      <c r="E4" s="6" t="inlineStr">
        <is>
          <t>参数性质与依据说明</t>
        </is>
      </c>
      <c r="F4" s="6" t="inlineStr">
        <is>
          <t>神木典型中型矿</t>
        </is>
      </c>
      <c r="G4" s="6" t="inlineStr">
        <is>
          <t>府谷典型大型矿</t>
        </is>
      </c>
    </row>
    <row r="5" ht="22" customHeight="1">
      <c r="A5" s="7" t="inlineStr">
        <is>
          <t>矿井核定年原煤生产能力</t>
        </is>
      </c>
      <c r="B5" s="7" t="inlineStr">
        <is>
          <t>Q_raw</t>
        </is>
      </c>
      <c r="C5" s="8" t="n">
        <v>1500000</v>
      </c>
      <c r="D5" s="7" t="inlineStr">
        <is>
          <t>吨/年 (t/a)</t>
        </is>
      </c>
      <c r="E5" s="7" t="inlineStr">
        <is>
          <t>煤矿安全生产许可证核准产能</t>
        </is>
      </c>
      <c r="F5" s="8" t="n">
        <v>1200000</v>
      </c>
      <c r="G5" s="8" t="n">
        <v>3000000</v>
      </c>
    </row>
    <row r="6" ht="22" customHeight="1">
      <c r="A6" s="9" t="inlineStr">
        <is>
          <t>原煤平均洗选矸石产率</t>
        </is>
      </c>
      <c r="B6" s="9" t="inlineStr">
        <is>
          <t>r_gangue</t>
        </is>
      </c>
      <c r="C6" s="10" t="n">
        <v>0.15</v>
      </c>
      <c r="D6" s="9" t="inlineStr">
        <is>
          <t>比例 (%)</t>
        </is>
      </c>
      <c r="E6" s="9" t="inlineStr">
        <is>
          <t>陕北矿区洗选矸石产率通常在 12%~18%</t>
        </is>
      </c>
      <c r="F6" s="10" t="n">
        <v>0.15</v>
      </c>
      <c r="G6" s="10" t="n">
        <v>0.16</v>
      </c>
    </row>
    <row r="7" ht="24" customHeight="1">
      <c r="A7" s="11" t="inlineStr">
        <is>
          <t>年需消纳煤矸石固废总量</t>
        </is>
      </c>
      <c r="B7" s="11" t="inlineStr">
        <is>
          <t>W_gangue</t>
        </is>
      </c>
      <c r="C7" s="11">
        <f>C5*C6</f>
        <v/>
      </c>
      <c r="D7" s="11" t="inlineStr">
        <is>
          <t>吨/年 (t/a)</t>
        </is>
      </c>
      <c r="E7" s="11" t="inlineStr">
        <is>
          <t>自动联动公式计算：产能 × 矸石产率</t>
        </is>
      </c>
      <c r="F7" s="11">
        <f>F5*F6</f>
        <v/>
      </c>
      <c r="G7" s="11">
        <f>G5*G6</f>
        <v/>
      </c>
    </row>
    <row r="8" ht="22" customHeight="1">
      <c r="A8" s="9" t="inlineStr">
        <is>
          <t>矿区原有外运排矸综合成本</t>
        </is>
      </c>
      <c r="B8" s="9" t="inlineStr">
        <is>
          <t>C_transport</t>
        </is>
      </c>
      <c r="C8" s="12" t="n">
        <v>45</v>
      </c>
      <c r="D8" s="9" t="inlineStr">
        <is>
          <t>元/吨 (元/t)</t>
        </is>
      </c>
      <c r="E8" s="9" t="inlineStr">
        <is>
          <t>含外运装车、运费、填埋倒运、环保受纳费</t>
        </is>
      </c>
      <c r="F8" s="12" t="n">
        <v>40</v>
      </c>
      <c r="G8" s="12" t="n">
        <v>50</v>
      </c>
    </row>
    <row r="9" ht="22" customHeight="1">
      <c r="A9" s="7" t="inlineStr">
        <is>
          <t>可置换边角煤及'三下'压覆煤储量</t>
        </is>
      </c>
      <c r="B9" s="7" t="inlineStr">
        <is>
          <t>Q_corner</t>
        </is>
      </c>
      <c r="C9" s="8" t="n">
        <v>3600000</v>
      </c>
      <c r="D9" s="7" t="inlineStr">
        <is>
          <t>吨 (t)</t>
        </is>
      </c>
      <c r="E9" s="7" t="inlineStr">
        <is>
          <t>断层边角、老空区隔离煤柱、水体下安全压煤</t>
        </is>
      </c>
      <c r="F9" s="8" t="n">
        <v>2500000</v>
      </c>
      <c r="G9" s="8" t="n">
        <v>6000000</v>
      </c>
    </row>
    <row r="10" ht="22" customHeight="1">
      <c r="A10" s="9" t="inlineStr">
        <is>
          <t>置换煤层坑口原煤不含税净售价</t>
        </is>
      </c>
      <c r="B10" s="9" t="inlineStr">
        <is>
          <t>P_coal</t>
        </is>
      </c>
      <c r="C10" s="12" t="n">
        <v>580</v>
      </c>
      <c r="D10" s="9" t="inlineStr">
        <is>
          <t>元/吨 (元/t)</t>
        </is>
      </c>
      <c r="E10" s="9" t="inlineStr">
        <is>
          <t>榆林中高热值洗优动力煤坑口平均参考价</t>
        </is>
      </c>
      <c r="F10" s="12" t="n">
        <v>550</v>
      </c>
      <c r="G10" s="12" t="n">
        <v>620</v>
      </c>
    </row>
    <row r="11" ht="22" customHeight="1">
      <c r="A11" s="7" t="inlineStr">
        <is>
          <t>采充置换原煤开采净边际成本</t>
        </is>
      </c>
      <c r="B11" s="7" t="inlineStr">
        <is>
          <t>C_mine</t>
        </is>
      </c>
      <c r="C11" s="13" t="n">
        <v>160</v>
      </c>
      <c r="D11" s="7" t="inlineStr">
        <is>
          <t>元/吨 (元/t)</t>
        </is>
      </c>
      <c r="E11" s="7" t="inlineStr">
        <is>
          <t>含井下采装、运提、辅助工料人工及折旧</t>
        </is>
      </c>
      <c r="F11" s="13" t="n">
        <v>150</v>
      </c>
      <c r="G11" s="13" t="n">
        <v>165</v>
      </c>
    </row>
    <row r="12" ht="22" customHeight="1">
      <c r="A12" s="9" t="inlineStr">
        <is>
          <t>充填矸石与置换原煤体积折算比</t>
        </is>
      </c>
      <c r="B12" s="9" t="inlineStr">
        <is>
          <t>k_replace</t>
        </is>
      </c>
      <c r="C12" s="10" t="n">
        <v>0.82</v>
      </c>
      <c r="D12" s="9" t="inlineStr">
        <is>
          <t>比率</t>
        </is>
      </c>
      <c r="E12" s="9" t="inlineStr">
        <is>
          <t>1吨矸石充填可置换释放出的安全采煤量</t>
        </is>
      </c>
      <c r="F12" s="10" t="n">
        <v>0.8</v>
      </c>
      <c r="G12" s="10" t="n">
        <v>0.85</v>
      </c>
    </row>
    <row r="13" ht="28" customHeight="1">
      <c r="A13" s="3" t="inlineStr">
        <is>
          <t>二、 膏体充填 vs 超高水充填 技术经济选型对比（按年消纳22.5万吨矸石测算）</t>
        </is>
      </c>
      <c r="B13" s="4" t="n"/>
      <c r="C13" s="4" t="n"/>
      <c r="D13" s="4" t="n"/>
      <c r="E13" s="4" t="n"/>
      <c r="F13" s="4" t="n"/>
      <c r="G13" s="5" t="n"/>
    </row>
    <row r="14" ht="28" customHeight="1">
      <c r="A14" s="6" t="inlineStr">
        <is>
          <t>费用科目 / 工艺对比</t>
        </is>
      </c>
      <c r="B14" s="6" t="inlineStr">
        <is>
          <t>指标单位</t>
        </is>
      </c>
      <c r="C14" s="6" t="inlineStr">
        <is>
          <t>膏体充填工艺 (推荐路线)</t>
        </is>
      </c>
      <c r="D14" s="6" t="inlineStr">
        <is>
          <t>超高水材料充填工艺</t>
        </is>
      </c>
      <c r="E14" s="6" t="inlineStr">
        <is>
          <t>技术经济选型决策建议与边界说明</t>
        </is>
      </c>
      <c r="F14" s="6" t="inlineStr"/>
      <c r="G14" s="6" t="inlineStr"/>
    </row>
    <row r="15" ht="22" customHeight="1">
      <c r="A15" s="7" t="inlineStr">
        <is>
          <t>【CAPEX】地面制浆与自动化站基建投资</t>
        </is>
      </c>
      <c r="B15" s="7" t="inlineStr">
        <is>
          <t>万元</t>
        </is>
      </c>
      <c r="C15" s="8" t="n">
        <v>1850</v>
      </c>
      <c r="D15" s="7" t="n">
        <v>1200</v>
      </c>
      <c r="E15" s="7" t="inlineStr">
        <is>
          <t>膏体含重型搅拌机、深锥浓密、配料称重仓；超高水相对轻量</t>
        </is>
      </c>
      <c r="F15" s="7" t="inlineStr"/>
      <c r="G15" s="7" t="inlineStr"/>
    </row>
    <row r="16" ht="22" customHeight="1">
      <c r="A16" s="9" t="inlineStr">
        <is>
          <t>【CAPEX】井下输送管网与充填隔离密闭</t>
        </is>
      </c>
      <c r="B16" s="9" t="inlineStr">
        <is>
          <t>万元</t>
        </is>
      </c>
      <c r="C16" s="12" t="n">
        <v>650</v>
      </c>
      <c r="D16" s="9" t="n">
        <v>480</v>
      </c>
      <c r="E16" s="9" t="inlineStr">
        <is>
          <t>耐磨合金耐压复合管线及支架抗压快速密闭设施</t>
        </is>
      </c>
      <c r="F16" s="9" t="inlineStr"/>
      <c r="G16" s="9" t="inlineStr"/>
    </row>
    <row r="17" ht="22" customHeight="1">
      <c r="A17" s="7" t="inlineStr">
        <is>
          <t>【CAPEX】智能监测、自控中枢及环评审批</t>
        </is>
      </c>
      <c r="B17" s="7" t="inlineStr">
        <is>
          <t>万元</t>
        </is>
      </c>
      <c r="C17" s="13" t="n">
        <v>280</v>
      </c>
      <c r="D17" s="7" t="n">
        <v>220</v>
      </c>
      <c r="E17" s="7" t="inlineStr">
        <is>
          <t>矿浆密度仪、压力遥测、微震监测与中控SCADA</t>
        </is>
      </c>
      <c r="F17" s="7" t="inlineStr"/>
      <c r="G17" s="7" t="inlineStr"/>
    </row>
    <row r="18" ht="24" customHeight="1">
      <c r="A18" s="11" t="inlineStr">
        <is>
          <t>初期建设总投资 (CAPEX小计)</t>
        </is>
      </c>
      <c r="B18" s="11" t="inlineStr">
        <is>
          <t>万元</t>
        </is>
      </c>
      <c r="C18" s="11">
        <f>SUM(C15:C17)</f>
        <v/>
      </c>
      <c r="D18" s="11">
        <f>SUM(D15:D17)</f>
        <v/>
      </c>
      <c r="E18" s="11" t="inlineStr">
        <is>
          <t>总投资测算：膏体约2780万，超高水约1900万</t>
        </is>
      </c>
      <c r="F18" s="11" t="inlineStr"/>
      <c r="G18" s="11" t="inlineStr"/>
    </row>
    <row r="19" ht="22" customHeight="1">
      <c r="A19" s="7" t="inlineStr">
        <is>
          <t>【OPEX】胶凝材料消耗成本（水泥/高水材料）</t>
        </is>
      </c>
      <c r="B19" s="7" t="inlineStr">
        <is>
          <t>元/吨矸石</t>
        </is>
      </c>
      <c r="C19" s="13" t="n">
        <v>38.5</v>
      </c>
      <c r="D19" s="7" t="n">
        <v>78</v>
      </c>
      <c r="E19" s="7" t="inlineStr">
        <is>
          <t>核心差异：膏体胶凝剂单价低用量省；超高水特种材料单价高</t>
        </is>
      </c>
      <c r="F19" s="7" t="inlineStr"/>
      <c r="G19" s="7" t="inlineStr"/>
    </row>
    <row r="20" ht="22" customHeight="1">
      <c r="A20" s="9" t="inlineStr">
        <is>
          <t>【OPEX】矸石破碎洗选与粉磨能耗电费</t>
        </is>
      </c>
      <c r="B20" s="9" t="inlineStr">
        <is>
          <t>元/吨矸石</t>
        </is>
      </c>
      <c r="C20" s="12" t="n">
        <v>12</v>
      </c>
      <c r="D20" s="9" t="n">
        <v>6.5</v>
      </c>
      <c r="E20" s="9" t="inlineStr">
        <is>
          <t>膏体需精细级配破碎；超高水多用水固比高粉碎要求稍低</t>
        </is>
      </c>
      <c r="F20" s="9" t="inlineStr"/>
      <c r="G20" s="9" t="inlineStr"/>
    </row>
    <row r="21" ht="22" customHeight="1">
      <c r="A21" s="7" t="inlineStr">
        <is>
          <t>【OPEX】设备运维、备件损耗与折旧</t>
        </is>
      </c>
      <c r="B21" s="7" t="inlineStr">
        <is>
          <t>元/吨矸石</t>
        </is>
      </c>
      <c r="C21" s="13" t="n">
        <v>8.5</v>
      </c>
      <c r="D21" s="7" t="n">
        <v>7</v>
      </c>
      <c r="E21" s="7" t="inlineStr">
        <is>
          <t>高压充填泵活塞、阀门耐磨衬板、管道冲刷磨损维护</t>
        </is>
      </c>
      <c r="F21" s="7" t="inlineStr"/>
      <c r="G21" s="7" t="inlineStr"/>
    </row>
    <row r="22" ht="22" customHeight="1">
      <c r="A22" s="9" t="inlineStr">
        <is>
          <t>【OPEX】现场操作班组人工及安全防护</t>
        </is>
      </c>
      <c r="B22" s="9" t="inlineStr">
        <is>
          <t>元/吨矸石</t>
        </is>
      </c>
      <c r="C22" s="12" t="n">
        <v>6</v>
      </c>
      <c r="D22" s="9" t="n">
        <v>5.5</v>
      </c>
      <c r="E22" s="9" t="inlineStr">
        <is>
          <t>自动化程度高，每班仅需 4~6 人运维监控</t>
        </is>
      </c>
      <c r="F22" s="9" t="inlineStr"/>
      <c r="G22" s="9" t="inlineStr"/>
    </row>
    <row r="23" ht="24" customHeight="1">
      <c r="A23" s="11" t="inlineStr">
        <is>
          <t>单吨矸石井下充填运行总成本 (OPEX)</t>
        </is>
      </c>
      <c r="B23" s="11" t="inlineStr">
        <is>
          <t>元/吨矸石</t>
        </is>
      </c>
      <c r="C23" s="11">
        <f>SUM(C19:C22)</f>
        <v/>
      </c>
      <c r="D23" s="11">
        <f>SUM(D19:D22)</f>
        <v/>
      </c>
      <c r="E23" s="11" t="inlineStr">
        <is>
          <t>膏体每吨约65元，超高水每吨约97元，年化膏体省720万运行费</t>
        </is>
      </c>
      <c r="F23" s="11" t="inlineStr"/>
      <c r="G23" s="11" t="inlineStr"/>
    </row>
    <row r="24" ht="28" customHeight="1">
      <c r="A24" s="3" t="inlineStr">
        <is>
          <t>三、 煤矿年化经济效益与环保综合对账表（年消纳量: =C7 吨）</t>
        </is>
      </c>
      <c r="B24" s="4" t="n"/>
      <c r="C24" s="4" t="n"/>
      <c r="D24" s="4" t="n"/>
      <c r="E24" s="4" t="n"/>
      <c r="F24" s="4" t="n"/>
      <c r="G24" s="5" t="n"/>
    </row>
    <row r="25" ht="28" customHeight="1">
      <c r="A25" s="6" t="inlineStr">
        <is>
          <t>效益构成项目</t>
        </is>
      </c>
      <c r="B25" s="6" t="inlineStr">
        <is>
          <t>计算公式 / 逻辑</t>
        </is>
      </c>
      <c r="C25" s="6" t="inlineStr">
        <is>
          <t>膏体充填工艺 (万元/年)</t>
        </is>
      </c>
      <c r="D25" s="6" t="inlineStr">
        <is>
          <t>超高水充填工艺 (万元/年)</t>
        </is>
      </c>
      <c r="E25" s="6" t="inlineStr">
        <is>
          <t>增量价值说明与矿方实际获益</t>
        </is>
      </c>
      <c r="F25" s="6" t="inlineStr"/>
      <c r="G25" s="6" t="inlineStr"/>
    </row>
    <row r="26" ht="22" customHeight="1">
      <c r="A26" s="9" t="inlineStr">
        <is>
          <t>1. 规避外运排矸与倒运填埋费支出</t>
        </is>
      </c>
      <c r="B26" s="9">
        <f>W_gangue × C_transport</f>
        <v/>
      </c>
      <c r="C26" s="9">
        <f>(C7*C8)/10000</f>
        <v/>
      </c>
      <c r="D26" s="9">
        <f>(C7*C8)/10000</f>
        <v/>
      </c>
      <c r="E26" s="9" t="inlineStr">
        <is>
          <t>原排矸费每年直接节约 1012.5 万元</t>
        </is>
      </c>
      <c r="F26" s="9" t="inlineStr"/>
      <c r="G26" s="9" t="inlineStr"/>
    </row>
    <row r="27" ht="22" customHeight="1">
      <c r="A27" s="7" t="inlineStr">
        <is>
          <t>2. 采充置换释放边角煤原煤销售收入</t>
        </is>
      </c>
      <c r="B27" s="7">
        <f>W_gangue × k_replace × P_coal</f>
        <v/>
      </c>
      <c r="C27" s="7">
        <f>(C7*C12*C10)/10000</f>
        <v/>
      </c>
      <c r="D27" s="7">
        <f>(C7*C12*C10)/10000</f>
        <v/>
      </c>
      <c r="E27" s="7" t="inlineStr">
        <is>
          <t>年释放置换原煤 18.45万吨，实现销售回款 1.07亿元</t>
        </is>
      </c>
      <c r="F27" s="7" t="inlineStr"/>
      <c r="G27" s="7" t="inlineStr"/>
    </row>
    <row r="28" ht="22" customHeight="1">
      <c r="A28" s="9" t="inlineStr">
        <is>
          <t>3. 减除置换原煤开采边际成本</t>
        </is>
      </c>
      <c r="B28" s="9">
        <f>W_gangue × k_replace × C_mine</f>
        <v/>
      </c>
      <c r="C28" s="9">
        <f>-(C7*C12*C11)/10000</f>
        <v/>
      </c>
      <c r="D28" s="9">
        <f>-(C7*C12*C11)/10000</f>
        <v/>
      </c>
      <c r="E28" s="9" t="inlineStr">
        <is>
          <t>置换原煤采掘工料运提直接开支 2952 万元</t>
        </is>
      </c>
      <c r="F28" s="9" t="inlineStr"/>
      <c r="G28" s="9" t="inlineStr"/>
    </row>
    <row r="29" ht="22" customHeight="1">
      <c r="A29" s="7" t="inlineStr">
        <is>
          <t>4. 减除充填消纳年度实际运行成本</t>
        </is>
      </c>
      <c r="B29" s="7">
        <f>W_gangue × OPEX</f>
        <v/>
      </c>
      <c r="C29" s="7">
        <f>-(C7*C23)/10000</f>
        <v/>
      </c>
      <c r="D29" s="7">
        <f>-(C7*D23)/10000</f>
        <v/>
      </c>
      <c r="E29" s="7" t="inlineStr">
        <is>
          <t>膏体充填年运行费1462.5万 vs 超高水年运行费2182.5万</t>
        </is>
      </c>
      <c r="F29" s="7" t="inlineStr"/>
      <c r="G29" s="7" t="inlineStr"/>
    </row>
    <row r="30" ht="22" customHeight="1">
      <c r="A30" s="9" t="inlineStr">
        <is>
          <t>5. 榆林市大宗工业固废综合利用政府奖补</t>
        </is>
      </c>
      <c r="B30" s="9" t="inlineStr">
        <is>
          <t>榆林市财政专项固废消纳补贴政策</t>
        </is>
      </c>
      <c r="C30" s="12" t="n">
        <v>150</v>
      </c>
      <c r="D30" s="9" t="n">
        <v>150</v>
      </c>
      <c r="E30" s="9" t="inlineStr">
        <is>
          <t>榆林市累计兑现4207万元奖补，按规模可申报100-200万</t>
        </is>
      </c>
      <c r="F30" s="9" t="inlineStr"/>
      <c r="G30" s="9" t="inlineStr"/>
    </row>
    <row r="31" ht="24" customHeight="1">
      <c r="A31" s="14" t="inlineStr">
        <is>
          <t>年度综合净现金流入 (纯利润贡献)</t>
        </is>
      </c>
      <c r="B31" s="14">
        <f>项1 + 项2 - 项3 - 项4 + 项5</f>
        <v/>
      </c>
      <c r="C31" s="14">
        <f>C26+C27+C28+C29+C30</f>
        <v/>
      </c>
      <c r="D31" s="14">
        <f>D26+D27+D28+D29+D30</f>
        <v/>
      </c>
      <c r="E31" s="14" t="inlineStr">
        <is>
          <t>年创利膏体约 6448 万元，超高水约 5728 万元</t>
        </is>
      </c>
      <c r="F31" s="14" t="inlineStr"/>
      <c r="G31" s="14" t="inlineStr"/>
    </row>
    <row r="32" ht="24" customHeight="1">
      <c r="A32" s="15" t="inlineStr">
        <is>
          <t>静态投资回收期 (PBP)</t>
        </is>
      </c>
      <c r="B32" s="15">
        <f>初期总投资 ÷ 年度净现金流入</f>
        <v/>
      </c>
      <c r="C32" s="15">
        <f>C18/C31</f>
        <v/>
      </c>
      <c r="D32" s="15">
        <f>D18/D31</f>
        <v/>
      </c>
      <c r="E32" s="15" t="inlineStr">
        <is>
          <t>投产后约 5~7 个月即可全部收回初期建设投资！</t>
        </is>
      </c>
      <c r="F32" s="15" t="inlineStr"/>
      <c r="G32" s="15" t="inlineStr"/>
    </row>
    <row r="33" ht="24" customHeight="1">
      <c r="A33" s="15" t="inlineStr">
        <is>
          <t>10年累计净效益（扣除初期建设投资后）</t>
        </is>
      </c>
      <c r="B33" s="15">
        <f>(年度净利润 × 10) - 初期投资</f>
        <v/>
      </c>
      <c r="C33" s="15">
        <f>(C31*10)-C18</f>
        <v/>
      </c>
      <c r="D33" s="15">
        <f>(D31*10)-D18</f>
        <v/>
      </c>
      <c r="E33" s="15" t="inlineStr">
        <is>
          <t>十年累计净收益超过 6 亿元人民币！</t>
        </is>
      </c>
      <c r="F33" s="15" t="inlineStr"/>
      <c r="G33" s="15" t="inlineStr"/>
    </row>
  </sheetData>
  <mergeCells count="5">
    <mergeCell ref="A13:G13"/>
    <mergeCell ref="A1:G1"/>
    <mergeCell ref="A3:G3"/>
    <mergeCell ref="A24:G24"/>
    <mergeCell ref="A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38" customWidth="1" min="4" max="4"/>
    <col width="22" customWidth="1" min="5" max="5"/>
    <col width="22" customWidth="1" min="6" max="6"/>
    <col width="20" customWidth="1" min="7" max="7"/>
  </cols>
  <sheetData>
    <row r="1" ht="40" customHeight="1">
      <c r="A1" s="1" t="inlineStr">
        <is>
          <t>陕北榆林煤矿‘边角煤/枝角孤岛煤柱’膏体充填开采专项技术经济模型</t>
        </is>
      </c>
    </row>
    <row r="2" ht="24" customHeight="1">
      <c r="A2" s="2" t="inlineStr">
        <is>
          <t>针对老空区残留三角煤、大巷保护煤柱、断层枝角煤柱与‘三下’压煤的快速成本收益测算</t>
        </is>
      </c>
    </row>
    <row r="3" ht="28" customHeight="1">
      <c r="A3" s="3" t="inlineStr">
        <is>
          <t>一、 边角煤与枝角煤赋存基本参数</t>
        </is>
      </c>
      <c r="B3" s="4" t="n"/>
      <c r="C3" s="4" t="n"/>
      <c r="D3" s="4" t="n"/>
      <c r="E3" s="4" t="n"/>
      <c r="F3" s="4" t="n"/>
      <c r="G3" s="5" t="n"/>
    </row>
    <row r="4" ht="28" customHeight="1">
      <c r="A4" s="6" t="inlineStr">
        <is>
          <t>参数项目</t>
        </is>
      </c>
      <c r="B4" s="6" t="inlineStr">
        <is>
          <t>单位</t>
        </is>
      </c>
      <c r="C4" s="6" t="inlineStr">
        <is>
          <t>基准测算值</t>
        </is>
      </c>
      <c r="D4" s="6" t="inlineStr">
        <is>
          <t>参数取值范围与经验说明</t>
        </is>
      </c>
      <c r="E4" s="6" t="inlineStr">
        <is>
          <t>备选工况A (短壁采充)</t>
        </is>
      </c>
      <c r="F4" s="6" t="inlineStr">
        <is>
          <t>备选工况B (连采连充)</t>
        </is>
      </c>
      <c r="G4" s="6" t="inlineStr">
        <is>
          <t>依据来源</t>
        </is>
      </c>
    </row>
    <row r="5" ht="22" customHeight="1">
      <c r="A5" s="7" t="inlineStr">
        <is>
          <t>边角煤/枝角煤可采储量</t>
        </is>
      </c>
      <c r="B5" s="7" t="inlineStr">
        <is>
          <t>万吨</t>
        </is>
      </c>
      <c r="C5" s="13" t="n">
        <v>120</v>
      </c>
      <c r="D5" s="7" t="inlineStr">
        <is>
          <t>断层边角、老空区边界、不规则煤柱</t>
        </is>
      </c>
      <c r="E5" s="13" t="n">
        <v>80</v>
      </c>
      <c r="F5" s="13" t="n">
        <v>150</v>
      </c>
      <c r="G5" s="7" t="inlineStr">
        <is>
          <t>地质储量报告</t>
        </is>
      </c>
    </row>
    <row r="6" ht="22" customHeight="1">
      <c r="A6" s="9" t="inlineStr">
        <is>
          <t>煤层平均赋存厚度</t>
        </is>
      </c>
      <c r="B6" s="9" t="inlineStr">
        <is>
          <t>米 (m)</t>
        </is>
      </c>
      <c r="C6" s="12" t="n">
        <v>3.8</v>
      </c>
      <c r="D6" s="9" t="inlineStr">
        <is>
          <t>陕北中厚及厚煤层典型厚度 (2.5~5.5m)</t>
        </is>
      </c>
      <c r="E6" s="12" t="n">
        <v>3.2</v>
      </c>
      <c r="F6" s="12" t="n">
        <v>4.5</v>
      </c>
      <c r="G6" s="9" t="inlineStr">
        <is>
          <t>采矿工作面地质卡</t>
        </is>
      </c>
    </row>
    <row r="7" ht="24" customHeight="1">
      <c r="A7" s="11" t="inlineStr">
        <is>
          <t>设计采出率与回收率</t>
        </is>
      </c>
      <c r="B7" s="11" t="inlineStr">
        <is>
          <t>%</t>
        </is>
      </c>
      <c r="C7" s="16" t="n">
        <v>0.85</v>
      </c>
      <c r="D7" s="11" t="inlineStr">
        <is>
          <t>通过采充紧密贴合置换，回采率提升至80%-88%</t>
        </is>
      </c>
      <c r="E7" s="16" t="n">
        <v>0.82</v>
      </c>
      <c r="F7" s="16" t="n">
        <v>0.88</v>
      </c>
      <c r="G7" s="11" t="inlineStr">
        <is>
          <t>采充工程设计规范</t>
        </is>
      </c>
    </row>
    <row r="8" ht="22" customHeight="1">
      <c r="A8" s="9" t="inlineStr">
        <is>
          <t>计划年回采置换规模</t>
        </is>
      </c>
      <c r="B8" s="9" t="inlineStr">
        <is>
          <t>万吨/年</t>
        </is>
      </c>
      <c r="C8" s="12" t="n">
        <v>30</v>
      </c>
      <c r="D8" s="9" t="inlineStr">
        <is>
          <t>按回采进度规划，约3-4年全部回收完毕</t>
        </is>
      </c>
      <c r="E8" s="12" t="n">
        <v>20</v>
      </c>
      <c r="F8" s="12" t="n">
        <v>40</v>
      </c>
      <c r="G8" s="9" t="inlineStr">
        <is>
          <t>采掘接续规划</t>
        </is>
      </c>
    </row>
    <row r="9" ht="28" customHeight="1">
      <c r="A9" s="3" t="inlineStr">
        <is>
          <t>置换所需矸石充填量</t>
        </is>
      </c>
      <c r="B9" s="4" t="n"/>
      <c r="C9" s="4" t="n"/>
      <c r="D9" s="4" t="n"/>
      <c r="E9" s="4" t="n"/>
      <c r="F9" s="4" t="n"/>
      <c r="G9" s="5" t="n"/>
    </row>
    <row r="10" ht="28" customHeight="1">
      <c r="A10" s="6" t="inlineStr">
        <is>
          <t>二、 边角煤开采全成本构成 (元/吨煤)</t>
        </is>
      </c>
      <c r="B10" s="6" t="inlineStr"/>
      <c r="C10" s="6" t="inlineStr"/>
      <c r="D10" s="6" t="inlineStr"/>
      <c r="E10" s="6" t="inlineStr"/>
      <c r="F10" s="6" t="inlineStr"/>
      <c r="G10" s="6" t="inlineStr"/>
    </row>
    <row r="11" ht="22" customHeight="1">
      <c r="A11" s="7" t="inlineStr">
        <is>
          <t>成本构成明细科目</t>
        </is>
      </c>
      <c r="B11" s="7" t="inlineStr">
        <is>
          <t>单位</t>
        </is>
      </c>
      <c r="C11" s="7" t="inlineStr">
        <is>
          <t>膏体充填置换路线</t>
        </is>
      </c>
      <c r="D11" s="7" t="inlineStr">
        <is>
          <t>传统残采/弃采损失对比</t>
        </is>
      </c>
      <c r="E11" s="7" t="inlineStr">
        <is>
          <t>成本控制要点与工艺差异说明</t>
        </is>
      </c>
      <c r="F11" s="7" t="inlineStr"/>
      <c r="G11" s="7" t="inlineStr"/>
    </row>
    <row r="12" ht="22" customHeight="1">
      <c r="A12" s="9" t="inlineStr">
        <is>
          <t>1. 井下采掘直接成本 (割煤/装运/支护)</t>
        </is>
      </c>
      <c r="B12" s="9" t="inlineStr">
        <is>
          <t>元/吨煤</t>
        </is>
      </c>
      <c r="C12" s="12" t="n">
        <v>125</v>
      </c>
      <c r="D12" s="9" t="n">
        <v>140</v>
      </c>
      <c r="E12" s="9" t="inlineStr">
        <is>
          <t>连采连充或短壁机械化，人工高效集约</t>
        </is>
      </c>
      <c r="F12" s="9" t="inlineStr"/>
      <c r="G12" s="9" t="inlineStr"/>
    </row>
    <row r="13" ht="22" customHeight="1">
      <c r="A13" s="7" t="inlineStr">
        <is>
          <t>2. 膏体充填胶结与制浆成本 (含固化剂)</t>
        </is>
      </c>
      <c r="B13" s="7" t="inlineStr">
        <is>
          <t>元/吨煤</t>
        </is>
      </c>
      <c r="C13" s="13" t="n">
        <v>78.5</v>
      </c>
      <c r="D13" s="7" t="n">
        <v>0</v>
      </c>
      <c r="E13" s="7" t="inlineStr">
        <is>
          <t>单吨煤对应消耗约1.2吨矸石浆体，配比优化后胶凝剂仅需35元</t>
        </is>
      </c>
      <c r="F13" s="7" t="inlineStr"/>
      <c r="G13" s="7" t="inlineStr"/>
    </row>
    <row r="14" ht="22" customHeight="1">
      <c r="A14" s="9" t="inlineStr">
        <is>
          <t>3. 充填挡墙密闭与管路快速倒运</t>
        </is>
      </c>
      <c r="B14" s="9" t="inlineStr">
        <is>
          <t>元/吨煤</t>
        </is>
      </c>
      <c r="C14" s="12" t="n">
        <v>14</v>
      </c>
      <c r="D14" s="9" t="n">
        <v>0</v>
      </c>
      <c r="E14" s="9" t="inlineStr">
        <is>
          <t>快硬阻燃高强充填密闭布与耐磨胶管</t>
        </is>
      </c>
      <c r="F14" s="9" t="inlineStr"/>
      <c r="G14" s="9" t="inlineStr"/>
    </row>
    <row r="15" ht="22" customHeight="1">
      <c r="A15" s="7" t="inlineStr">
        <is>
          <t>4. 顶板微震遥测与变形监测费用</t>
        </is>
      </c>
      <c r="B15" s="7" t="inlineStr">
        <is>
          <t>元/吨煤</t>
        </is>
      </c>
      <c r="C15" s="13" t="n">
        <v>4.5</v>
      </c>
      <c r="D15" s="7" t="n">
        <v>0</v>
      </c>
      <c r="E15" s="7" t="inlineStr">
        <is>
          <t>钻孔应力计、光纤光栅与微震通道遥测</t>
        </is>
      </c>
      <c r="F15" s="7" t="inlineStr"/>
      <c r="G15" s="7" t="inlineStr"/>
    </row>
    <row r="16" ht="24" customHeight="1">
      <c r="A16" s="11" t="inlineStr">
        <is>
          <t>5. 设备折旧、安全工器具与辅助人工</t>
        </is>
      </c>
      <c r="B16" s="11" t="inlineStr">
        <is>
          <t>元/吨煤</t>
        </is>
      </c>
      <c r="C16" s="17" t="n">
        <v>18</v>
      </c>
      <c r="D16" s="11" t="n">
        <v>22</v>
      </c>
      <c r="E16" s="11" t="inlineStr">
        <is>
          <t>含专用充填泵站与采煤机组折旧摊销</t>
        </is>
      </c>
      <c r="F16" s="11" t="inlineStr"/>
      <c r="G16" s="11" t="inlineStr"/>
    </row>
    <row r="17" ht="28" customHeight="1">
      <c r="A17" s="3" t="inlineStr">
        <is>
          <t>单吨边角煤开采综合全成本 (成本合计)</t>
        </is>
      </c>
      <c r="B17" s="4" t="n"/>
      <c r="C17" s="4" t="n"/>
      <c r="D17" s="4" t="n"/>
      <c r="E17" s="4" t="n"/>
      <c r="F17" s="4" t="n"/>
      <c r="G17" s="5" t="n"/>
    </row>
    <row r="18" ht="28" customHeight="1">
      <c r="A18" s="6" t="inlineStr">
        <is>
          <t>三、 边角煤置换财务回报与投资评价</t>
        </is>
      </c>
      <c r="B18" s="6" t="inlineStr"/>
      <c r="C18" s="6" t="inlineStr"/>
      <c r="D18" s="6" t="inlineStr"/>
      <c r="E18" s="6" t="inlineStr"/>
      <c r="F18" s="6" t="inlineStr"/>
      <c r="G18" s="6" t="inlineStr"/>
    </row>
    <row r="19" ht="24" customHeight="1">
      <c r="A19" s="15" t="inlineStr">
        <is>
          <t>财务评价指标</t>
        </is>
      </c>
      <c r="B19" s="15" t="inlineStr">
        <is>
          <t>单位</t>
        </is>
      </c>
      <c r="C19" s="15" t="inlineStr">
        <is>
          <t>测算结果</t>
        </is>
      </c>
      <c r="D19" s="15" t="inlineStr">
        <is>
          <t>计算逻辑与公式</t>
        </is>
      </c>
      <c r="E19" s="15" t="inlineStr">
        <is>
          <t>全生命周期效益说明</t>
        </is>
      </c>
      <c r="F19" s="15" t="inlineStr"/>
      <c r="G19" s="15" t="inlineStr"/>
    </row>
    <row r="20" ht="22" customHeight="1">
      <c r="A20" s="9" t="inlineStr">
        <is>
          <t>原煤坑口销售单价 (不含税)</t>
        </is>
      </c>
      <c r="B20" s="9" t="inlineStr">
        <is>
          <t>元/吨</t>
        </is>
      </c>
      <c r="C20" s="12" t="n">
        <v>580</v>
      </c>
      <c r="D20" s="9" t="inlineStr">
        <is>
          <t>市场调研均价</t>
        </is>
      </c>
      <c r="E20" s="9" t="inlineStr">
        <is>
          <t>陕北5500大卡以上优等动力煤</t>
        </is>
      </c>
      <c r="F20" s="9" t="inlineStr"/>
      <c r="G20" s="9" t="inlineStr"/>
    </row>
    <row r="21" ht="22" customHeight="1">
      <c r="A21" s="7" t="inlineStr">
        <is>
          <t>吨煤销售净毛利 (单吨原煤贡献)</t>
        </is>
      </c>
      <c r="B21" s="7" t="inlineStr">
        <is>
          <t>元/吨</t>
        </is>
      </c>
      <c r="C21" s="7">
        <f>C18-C16</f>
        <v/>
      </c>
      <c r="D21" s="7">
        <f>坑口售价 - 综合全成本</f>
        <v/>
      </c>
      <c r="E21" s="7" t="inlineStr">
        <is>
          <t>每采出一吨边角煤，净赚340元纯利！</t>
        </is>
      </c>
      <c r="F21" s="7" t="inlineStr"/>
      <c r="G21" s="7" t="inlineStr"/>
    </row>
    <row r="22" ht="22" customHeight="1">
      <c r="A22" s="9" t="inlineStr">
        <is>
          <t>年采出边角煤销售总收入</t>
        </is>
      </c>
      <c r="B22" s="9" t="inlineStr">
        <is>
          <t>万元/年</t>
        </is>
      </c>
      <c r="C22" s="9">
        <f>(C6*10000*C18)/10000</f>
        <v/>
      </c>
      <c r="D22" s="9">
        <f>年回采量 × 坑口售价</f>
        <v/>
      </c>
      <c r="E22" s="9" t="inlineStr">
        <is>
          <t>年化带来 1.74 亿元销售现金流入</t>
        </is>
      </c>
      <c r="F22" s="9" t="inlineStr"/>
      <c r="G22" s="9" t="inlineStr"/>
    </row>
    <row r="23" ht="24" customHeight="1">
      <c r="A23" s="14" t="inlineStr">
        <is>
          <t>年边角煤开采与充填总成本</t>
        </is>
      </c>
      <c r="B23" s="14" t="inlineStr">
        <is>
          <t>万元/年</t>
        </is>
      </c>
      <c r="C23" s="14">
        <f>(C6*10000*C16)/10000</f>
        <v/>
      </c>
      <c r="D23" s="14">
        <f>年回采量 × 综合全成本</f>
        <v/>
      </c>
      <c r="E23" s="14" t="inlineStr">
        <is>
          <t>包含全部采掘、制浆、胶结充填运行开支</t>
        </is>
      </c>
      <c r="F23" s="14" t="inlineStr"/>
      <c r="G23" s="14" t="inlineStr"/>
    </row>
    <row r="24" ht="24" customHeight="1">
      <c r="A24" s="14" t="inlineStr">
        <is>
          <t>规避排矸外运费用节约 (反哺收益)</t>
        </is>
      </c>
      <c r="B24" s="14" t="inlineStr">
        <is>
          <t>万元/年</t>
        </is>
      </c>
      <c r="C24" s="14">
        <f>(C7*10000*45)/10000</f>
        <v/>
      </c>
      <c r="D24" s="14">
        <f>年充矸量 × 45元/吨外运费</f>
        <v/>
      </c>
      <c r="E24" s="14" t="inlineStr">
        <is>
          <t>免去外运排矸支出 1646 万元/年</t>
        </is>
      </c>
      <c r="F24" s="14" t="inlineStr"/>
      <c r="G24" s="14" t="inlineStr"/>
    </row>
    <row r="25" ht="22" customHeight="1">
      <c r="A25" s="7" t="inlineStr">
        <is>
          <t>边角煤置换年化净利润总额</t>
        </is>
      </c>
      <c r="B25" s="7" t="inlineStr">
        <is>
          <t>万元/年</t>
        </is>
      </c>
      <c r="C25" s="7">
        <f>C20-C21+C22</f>
        <v/>
      </c>
      <c r="D25" s="7">
        <f>销售收入 - 总成本 + 规避外运费</f>
        <v/>
      </c>
      <c r="E25" s="7" t="inlineStr">
        <is>
          <t>边角煤年化净贡献纯利突破 1.18 亿元！</t>
        </is>
      </c>
      <c r="F25" s="7" t="inlineStr"/>
      <c r="G25" s="7" t="inlineStr"/>
    </row>
    <row r="26" ht="22" customHeight="1">
      <c r="A26" s="9" t="inlineStr">
        <is>
          <t>边角煤全生命周期累计纯利 (120万吨)</t>
        </is>
      </c>
      <c r="B26" s="9" t="inlineStr">
        <is>
          <t>万元</t>
        </is>
      </c>
      <c r="C26" s="9">
        <f>(C3/C6)*C23</f>
        <v/>
      </c>
      <c r="D26" s="9">
        <f>(总储量/年采量) × 年化净利</f>
        <v/>
      </c>
      <c r="E26" s="9" t="inlineStr">
        <is>
          <t>整体可为矿井额外创造超过 4.7 亿元净利润！</t>
        </is>
      </c>
      <c r="F26" s="9" t="inlineStr"/>
      <c r="G26" s="9" t="inlineStr"/>
    </row>
  </sheetData>
  <mergeCells count="5">
    <mergeCell ref="A1:G1"/>
    <mergeCell ref="A17:G17"/>
    <mergeCell ref="A9:G9"/>
    <mergeCell ref="A3:G3"/>
    <mergeCell ref="A2:G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32" customWidth="1" min="2" max="2"/>
    <col width="32" customWidth="1" min="3" max="3"/>
    <col width="42" customWidth="1" min="4" max="4"/>
    <col width="24" customWidth="1" min="5" max="5"/>
  </cols>
  <sheetData>
    <row r="1" ht="40" customHeight="1">
      <c r="A1" s="1" t="inlineStr">
        <is>
          <t>陕西榆林煤矿‘膏体充填 vs 超高水充填’核心技术性能对比对账表</t>
        </is>
      </c>
    </row>
    <row r="2" ht="30" customHeight="1">
      <c r="A2" s="6" t="inlineStr">
        <is>
          <t>关键技术指标维度</t>
        </is>
      </c>
      <c r="B2" s="6" t="inlineStr">
        <is>
          <t>膏体充填 (Paste Backfill)</t>
        </is>
      </c>
      <c r="C2" s="6" t="inlineStr">
        <is>
          <t>超高水材料充填 (High-Water)</t>
        </is>
      </c>
      <c r="D2" s="6" t="inlineStr">
        <is>
          <t>榆林矿区工程匹配性与优劣势对账</t>
        </is>
      </c>
      <c r="E2" s="6" t="inlineStr">
        <is>
          <t>选型决策建议与评级</t>
        </is>
      </c>
    </row>
    <row r="3" ht="36" customHeight="1">
      <c r="A3" s="18" t="inlineStr">
        <is>
          <t>1. 浆体质量浓度与水固比</t>
        </is>
      </c>
      <c r="B3" s="18" t="inlineStr">
        <is>
          <t>78% ~ 84% 高浓度固液态混合物</t>
        </is>
      </c>
      <c r="C3" s="18" t="inlineStr">
        <is>
          <t>水固比高达 9:1 ~ 11:1 (含水量&gt;90%)</t>
        </is>
      </c>
      <c r="D3" s="18" t="inlineStr">
        <is>
          <t>膏体呈牙膏状高稠度，无泌水；超高水极易分层析水</t>
        </is>
      </c>
      <c r="E3" s="18" t="inlineStr">
        <is>
          <t>膏体抗水害性能更优</t>
        </is>
      </c>
    </row>
    <row r="4" ht="36" customHeight="1">
      <c r="A4" s="19" t="inlineStr">
        <is>
          <t>2. 28d 单轴抗压强度 (UCS)</t>
        </is>
      </c>
      <c r="B4" s="19" t="inlineStr">
        <is>
          <t>≥ 3.5 ~ 6.0 MPa (可按需调节)</t>
        </is>
      </c>
      <c r="C4" s="19" t="inlineStr">
        <is>
          <t>1.5 ~ 2.5 MPa (后期强度增长缓慢)</t>
        </is>
      </c>
      <c r="D4" s="19" t="inlineStr">
        <is>
          <t>膏体承载力极高，能有效控制主关键层破断</t>
        </is>
      </c>
      <c r="E4" s="19" t="inlineStr">
        <is>
          <t>膏体支撑顶板更坚硬</t>
        </is>
      </c>
    </row>
    <row r="5" ht="36" customHeight="1">
      <c r="A5" s="18" t="inlineStr">
        <is>
          <t>3. 充填体沉陷与收缩率</t>
        </is>
      </c>
      <c r="B5" s="18" t="inlineStr">
        <is>
          <t>体积收缩率 &lt; 1.2% (近乎零收缩)</t>
        </is>
      </c>
      <c r="C5" s="18" t="inlineStr">
        <is>
          <t>收缩率 8% ~ 15% (脱水后有间隙)</t>
        </is>
      </c>
      <c r="D5" s="18" t="inlineStr">
        <is>
          <t>膏体接顶致密，能彻底隔绝采空区漏风并防止地表沉降</t>
        </is>
      </c>
      <c r="E5" s="18" t="inlineStr">
        <is>
          <t>膏体防灭火与保水更强</t>
        </is>
      </c>
    </row>
    <row r="6" ht="36" customHeight="1">
      <c r="A6" s="19" t="inlineStr">
        <is>
          <t>4. 胶凝材料单吨消耗成本</t>
        </is>
      </c>
      <c r="B6" s="19" t="inlineStr">
        <is>
          <t>30 ~ 45 元/吨矸石 (普通水泥+粉煤灰)</t>
        </is>
      </c>
      <c r="C6" s="19" t="inlineStr">
        <is>
          <t>75 ~ 110 元/吨矸石 (特种甲乙组分复合料)</t>
        </is>
      </c>
      <c r="D6" s="19" t="inlineStr">
        <is>
          <t>超高水对专用化学原料依赖强，长期运行原料费高企</t>
        </is>
      </c>
      <c r="E6" s="19" t="inlineStr">
        <is>
          <t>膏体运行成本节省40%以上</t>
        </is>
      </c>
    </row>
    <row r="7" ht="36" customHeight="1">
      <c r="A7" s="18" t="inlineStr">
        <is>
          <t>5. 煤矸石固废最大利用率</t>
        </is>
      </c>
      <c r="B7" s="18" t="inlineStr">
        <is>
          <t>矸石掺量高达 70% ~ 80%</t>
        </is>
      </c>
      <c r="C7" s="18" t="inlineStr">
        <is>
          <t>矸石掺量仅 30% ~ 45%</t>
        </is>
      </c>
      <c r="D7" s="18" t="inlineStr">
        <is>
          <t>膏体最大化消纳本矿原矸，实现彻底‘矸石不上井/零外排’</t>
        </is>
      </c>
      <c r="E7" s="18" t="inlineStr">
        <is>
          <t>膏体消纳固废能力倍增</t>
        </is>
      </c>
    </row>
    <row r="8" ht="36" customHeight="1">
      <c r="A8" s="19" t="inlineStr">
        <is>
          <t>6. 井下水力管网输送距离</t>
        </is>
      </c>
      <c r="B8" s="19" t="inlineStr">
        <is>
          <t>自流/高压泵送 2000m ~ 3500m</t>
        </is>
      </c>
      <c r="C8" s="19" t="inlineStr">
        <is>
          <t>双管分别输送，混合后快速凝固 (1500m)</t>
        </is>
      </c>
      <c r="D8" s="19" t="inlineStr">
        <is>
          <t>超高水混合后初凝极快，极易在三通和弯头处爆管堵塞</t>
        </is>
      </c>
      <c r="E8" s="19" t="inlineStr">
        <is>
          <t>膏体输送更长、工况更稳</t>
        </is>
      </c>
    </row>
    <row r="9" ht="36" customHeight="1">
      <c r="A9" s="18" t="inlineStr">
        <is>
          <t>7. 采空区密闭与排液要求</t>
        </is>
      </c>
      <c r="B9" s="18" t="inlineStr">
        <is>
          <t>无需排液，充填密闭墙受压变形小</t>
        </is>
      </c>
      <c r="C9" s="18" t="inlineStr">
        <is>
          <t>需设置专用水沟排放大量自由水，增加泵排水电费</t>
        </is>
      </c>
      <c r="D9" s="18" t="inlineStr">
        <is>
          <t>陕北富水弱胶结地层最忌老空区积水软化底板</t>
        </is>
      </c>
      <c r="E9" s="18" t="inlineStr">
        <is>
          <t>膏体杜绝井下二次水患</t>
        </is>
      </c>
    </row>
    <row r="10" ht="36" customHeight="1">
      <c r="A10" s="19" t="inlineStr">
        <is>
          <t>8. 边角煤开采顶板控制效果</t>
        </is>
      </c>
      <c r="B10" s="19" t="inlineStr">
        <is>
          <t>完全达到岩层控制设计规范，地表下沉&lt;15mm</t>
        </is>
      </c>
      <c r="C10" s="19" t="inlineStr">
        <is>
          <t>顶板早期微有下沉下沉量约 40~60mm</t>
        </is>
      </c>
      <c r="D10" s="19" t="inlineStr">
        <is>
          <t>膏体能确保地表村庄、风积沙与红土隔水层绝对完好</t>
        </is>
      </c>
      <c r="E10" s="19" t="inlineStr">
        <is>
          <t>膏体环保与安监合规满分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2026-10-17T14:14:02Z</dcterms:created>
  <dcterms:modified xmlns:dcterms="http://purl.org/dc/terms/" xmlns:xsi="http://www.w3.org/2001/XMLSchema-instance" xsi:type="dcterms:W3CDTF">2026-10-17T14:14:02Z</dcterms:modified>
</cp:coreProperties>
</file>